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6285" windowWidth="19035" windowHeight="5955"/>
  </bookViews>
  <sheets>
    <sheet name="Sheet1" sheetId="1" r:id="rId1"/>
    <sheet name="Sheet2" sheetId="2" r:id="rId2"/>
    <sheet name="Sheet3" sheetId="3" r:id="rId3"/>
  </sheets>
  <calcPr calcId="125725" iterate="1" iterateCount="1"/>
</workbook>
</file>

<file path=xl/calcChain.xml><?xml version="1.0" encoding="utf-8"?>
<calcChain xmlns="http://schemas.openxmlformats.org/spreadsheetml/2006/main">
  <c r="B123" i="1"/>
  <c r="A123"/>
  <c r="B122"/>
  <c r="A122"/>
  <c r="A121"/>
  <c r="B121"/>
  <c r="A119"/>
  <c r="A118"/>
  <c r="A117"/>
  <c r="A116"/>
  <c r="A115"/>
  <c r="A114"/>
  <c r="B112"/>
  <c r="A112"/>
  <c r="B110"/>
  <c r="A110"/>
  <c r="B108"/>
  <c r="A108"/>
  <c r="A105"/>
  <c r="B105"/>
  <c r="B102"/>
  <c r="A102"/>
  <c r="B97"/>
  <c r="A97"/>
  <c r="B95"/>
  <c r="A95"/>
  <c r="B94"/>
  <c r="A94"/>
  <c r="B90"/>
  <c r="A90"/>
  <c r="B86"/>
  <c r="A86"/>
  <c r="B82"/>
  <c r="A82"/>
  <c r="B79"/>
  <c r="A79"/>
  <c r="C75"/>
  <c r="B75"/>
  <c r="C73"/>
  <c r="F64"/>
  <c r="F65" s="1"/>
  <c r="F66" s="1"/>
  <c r="F67" s="1"/>
  <c r="F68" s="1"/>
  <c r="F69" s="1"/>
  <c r="F63"/>
  <c r="F62"/>
  <c r="E68"/>
  <c r="D70"/>
  <c r="E62" s="1"/>
  <c r="E58"/>
  <c r="F58"/>
  <c r="G58"/>
  <c r="H58"/>
  <c r="I58"/>
  <c r="J58"/>
  <c r="K58"/>
  <c r="D58"/>
  <c r="I55"/>
  <c r="J55"/>
  <c r="K55"/>
  <c r="I56"/>
  <c r="J56"/>
  <c r="K56"/>
  <c r="B55"/>
  <c r="C55"/>
  <c r="D55"/>
  <c r="E55"/>
  <c r="F55"/>
  <c r="G55"/>
  <c r="H55"/>
  <c r="B56"/>
  <c r="C56"/>
  <c r="D56"/>
  <c r="E56"/>
  <c r="F56"/>
  <c r="G56"/>
  <c r="H56"/>
  <c r="A56"/>
  <c r="A55"/>
  <c r="E52"/>
  <c r="D53"/>
  <c r="D52"/>
  <c r="C53"/>
  <c r="C52"/>
  <c r="E53"/>
  <c r="B53"/>
  <c r="B52"/>
  <c r="C45"/>
  <c r="D45"/>
  <c r="B45"/>
  <c r="E43"/>
  <c r="E42"/>
  <c r="D43"/>
  <c r="B43"/>
  <c r="C43"/>
  <c r="A43"/>
  <c r="D42"/>
  <c r="B42"/>
  <c r="C42"/>
  <c r="A42"/>
  <c r="E40"/>
  <c r="E39"/>
  <c r="G35"/>
  <c r="H33" s="1"/>
  <c r="B35"/>
  <c r="C34" s="1"/>
  <c r="B28"/>
  <c r="B27"/>
  <c r="D28"/>
  <c r="D27"/>
  <c r="A27" s="1"/>
  <c r="F27" s="1"/>
  <c r="B17"/>
  <c r="B8"/>
  <c r="C15" s="1"/>
  <c r="E65" l="1"/>
  <c r="E67"/>
  <c r="E64"/>
  <c r="E69"/>
  <c r="E63"/>
  <c r="E70" s="1"/>
  <c r="E66"/>
  <c r="C4"/>
  <c r="C6"/>
  <c r="C13"/>
  <c r="D13" s="1"/>
  <c r="C16"/>
  <c r="A28"/>
  <c r="F28" s="1"/>
  <c r="C32"/>
  <c r="C33"/>
  <c r="K33" s="1"/>
  <c r="H32"/>
  <c r="I32" s="1"/>
  <c r="I33" s="1"/>
  <c r="H34"/>
  <c r="K34" s="1"/>
  <c r="C7"/>
  <c r="C5"/>
  <c r="C14"/>
  <c r="H35"/>
  <c r="C17"/>
  <c r="K32" l="1"/>
  <c r="K35" s="1"/>
  <c r="C35"/>
  <c r="D32"/>
  <c r="D33" s="1"/>
  <c r="D34" s="1"/>
  <c r="I34"/>
  <c r="D14"/>
  <c r="D15" s="1"/>
  <c r="D16" s="1"/>
  <c r="C8"/>
</calcChain>
</file>

<file path=xl/sharedStrings.xml><?xml version="1.0" encoding="utf-8"?>
<sst xmlns="http://schemas.openxmlformats.org/spreadsheetml/2006/main" count="78" uniqueCount="44">
  <si>
    <t>117 535 = 40 705  +  70 611  +  4 115  + 2 103</t>
  </si>
  <si>
    <t>Q01</t>
  </si>
  <si>
    <t>Q05</t>
  </si>
  <si>
    <t>Q19</t>
  </si>
  <si>
    <t>Q27</t>
  </si>
  <si>
    <t>Spolu</t>
  </si>
  <si>
    <t>Tržby</t>
  </si>
  <si>
    <t>ni</t>
  </si>
  <si>
    <t>fi</t>
  </si>
  <si>
    <t>N</t>
  </si>
  <si>
    <t>MAT</t>
  </si>
  <si>
    <t>MZD</t>
  </si>
  <si>
    <t>ODP</t>
  </si>
  <si>
    <t>Yiskpred</t>
  </si>
  <si>
    <t>V</t>
  </si>
  <si>
    <t>Náklady</t>
  </si>
  <si>
    <r>
      <t>n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</si>
  <si>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r>
      <t>f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</si>
  <si>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r>
      <t>kf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</si>
  <si>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t>CK</t>
  </si>
  <si>
    <t>VI</t>
  </si>
  <si>
    <t>ZAV</t>
  </si>
  <si>
    <t>CR</t>
  </si>
  <si>
    <t>MAJ</t>
  </si>
  <si>
    <t>NM</t>
  </si>
  <si>
    <t>OM</t>
  </si>
  <si>
    <t>DNM</t>
  </si>
  <si>
    <t>DHM</t>
  </si>
  <si>
    <t>DFM</t>
  </si>
  <si>
    <t>ZAS</t>
  </si>
  <si>
    <t>DP</t>
  </si>
  <si>
    <t>KP</t>
  </si>
  <si>
    <t>FU</t>
  </si>
  <si>
    <t>MAJETOK</t>
  </si>
  <si>
    <t>ROE</t>
  </si>
  <si>
    <t>Z/V</t>
  </si>
  <si>
    <t>Z/PH</t>
  </si>
  <si>
    <t>PH/SVPZ</t>
  </si>
  <si>
    <t>q0105/zam</t>
  </si>
  <si>
    <t>Q0105/on</t>
  </si>
  <si>
    <t>ph/on</t>
  </si>
  <si>
    <t>v/maj</t>
  </si>
  <si>
    <t>ph/v</t>
  </si>
  <si>
    <t>L2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</si>
</sst>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2" xfId="1" applyNumberFormat="1" applyFont="1" applyBorder="1"/>
    <xf numFmtId="0" fontId="0" fillId="0" borderId="3" xfId="0" applyBorder="1"/>
    <xf numFmtId="164" fontId="0" fillId="0" borderId="4" xfId="1" applyNumberFormat="1" applyFont="1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0" fillId="0" borderId="2" xfId="0" applyNumberFormat="1" applyBorder="1"/>
    <xf numFmtId="0" fontId="0" fillId="0" borderId="4" xfId="0" applyBorder="1"/>
    <xf numFmtId="164" fontId="0" fillId="0" borderId="4" xfId="0" applyNumberFormat="1" applyBorder="1"/>
    <xf numFmtId="9" fontId="0" fillId="0" borderId="0" xfId="1" applyFont="1"/>
    <xf numFmtId="2" fontId="0" fillId="0" borderId="0" xfId="0" applyNumberFormat="1"/>
    <xf numFmtId="0" fontId="0" fillId="2" borderId="0" xfId="0" applyFill="1"/>
    <xf numFmtId="0" fontId="0" fillId="2" borderId="1" xfId="0" applyFill="1" applyBorder="1"/>
    <xf numFmtId="0" fontId="0" fillId="2" borderId="5" xfId="0" applyFill="1" applyBorder="1"/>
    <xf numFmtId="0" fontId="0" fillId="2" borderId="7" xfId="0" applyFill="1" applyBorder="1"/>
    <xf numFmtId="3" fontId="0" fillId="2" borderId="0" xfId="0" applyNumberFormat="1" applyFill="1" applyBorder="1"/>
    <xf numFmtId="164" fontId="0" fillId="2" borderId="0" xfId="0" applyNumberFormat="1" applyFill="1" applyBorder="1"/>
    <xf numFmtId="164" fontId="0" fillId="2" borderId="7" xfId="0" applyNumberFormat="1" applyFill="1" applyBorder="1"/>
    <xf numFmtId="164" fontId="0" fillId="2" borderId="0" xfId="0" applyNumberFormat="1" applyFill="1"/>
    <xf numFmtId="0" fontId="0" fillId="2" borderId="8" xfId="0" applyFill="1" applyBorder="1"/>
    <xf numFmtId="3" fontId="0" fillId="2" borderId="3" xfId="0" applyNumberFormat="1" applyFill="1" applyBorder="1"/>
    <xf numFmtId="164" fontId="0" fillId="2" borderId="3" xfId="0" applyNumberFormat="1" applyFill="1" applyBorder="1"/>
    <xf numFmtId="164" fontId="0" fillId="2" borderId="8" xfId="0" applyNumberFormat="1" applyFill="1" applyBorder="1"/>
    <xf numFmtId="0" fontId="0" fillId="2" borderId="0" xfId="0" applyFill="1" applyAlignment="1">
      <alignment horizontal="right"/>
    </xf>
    <xf numFmtId="164" fontId="0" fillId="2" borderId="0" xfId="1" applyNumberFormat="1" applyFont="1" applyFill="1"/>
    <xf numFmtId="0" fontId="0" fillId="2" borderId="6" xfId="0" applyFill="1" applyBorder="1"/>
    <xf numFmtId="164" fontId="0" fillId="2" borderId="2" xfId="1" applyNumberFormat="1" applyFont="1" applyFill="1" applyBorder="1"/>
    <xf numFmtId="164" fontId="0" fillId="2" borderId="4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Paretova analýza tržieb</a:t>
            </a:r>
          </a:p>
        </c:rich>
      </c:tx>
      <c:layout>
        <c:manualLayout>
          <c:xMode val="edge"/>
          <c:yMode val="edge"/>
          <c:x val="0.25107633420822395"/>
          <c:y val="0"/>
        </c:manualLayout>
      </c:layout>
    </c:title>
    <c:plotArea>
      <c:layout/>
      <c:barChart>
        <c:barDir val="col"/>
        <c:grouping val="clustered"/>
        <c:ser>
          <c:idx val="0"/>
          <c:order val="0"/>
          <c:tx>
            <c:strRef>
              <c:f>Sheet1!$C$12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Sheet1!$A$13:$A$16</c:f>
              <c:strCache>
                <c:ptCount val="4"/>
                <c:pt idx="0">
                  <c:v>Q05</c:v>
                </c:pt>
                <c:pt idx="1">
                  <c:v>Q01</c:v>
                </c:pt>
                <c:pt idx="2">
                  <c:v>Q19</c:v>
                </c:pt>
                <c:pt idx="3">
                  <c:v>Q27</c:v>
                </c:pt>
              </c:strCache>
            </c:strRef>
          </c:cat>
          <c:val>
            <c:numRef>
              <c:f>Sheet1!$C$13:$C$16</c:f>
              <c:numCache>
                <c:formatCode>0.0%</c:formatCode>
                <c:ptCount val="4"/>
                <c:pt idx="0">
                  <c:v>0.60077084077798759</c:v>
                </c:pt>
                <c:pt idx="1">
                  <c:v>0.34632531863120458</c:v>
                </c:pt>
                <c:pt idx="2">
                  <c:v>3.5011145711028299E-2</c:v>
                </c:pt>
                <c:pt idx="3">
                  <c:v>1.7892694879779469E-2</c:v>
                </c:pt>
              </c:numCache>
            </c:numRef>
          </c:val>
        </c:ser>
        <c:axId val="55770112"/>
        <c:axId val="55802112"/>
      </c:barChart>
      <c:lineChart>
        <c:grouping val="standard"/>
        <c:ser>
          <c:idx val="1"/>
          <c:order val="1"/>
          <c:tx>
            <c:strRef>
              <c:f>Sheet1!$D$12</c:f>
              <c:strCache>
                <c:ptCount val="1"/>
                <c:pt idx="0">
                  <c:v>kfi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val>
            <c:numRef>
              <c:f>Sheet1!$D$13:$D$16</c:f>
              <c:numCache>
                <c:formatCode>0.0%</c:formatCode>
                <c:ptCount val="4"/>
                <c:pt idx="0">
                  <c:v>0.60077084077798759</c:v>
                </c:pt>
                <c:pt idx="1">
                  <c:v>0.94709615940919223</c:v>
                </c:pt>
                <c:pt idx="2">
                  <c:v>0.98210730512022049</c:v>
                </c:pt>
                <c:pt idx="3">
                  <c:v>1</c:v>
                </c:pt>
              </c:numCache>
            </c:numRef>
          </c:val>
        </c:ser>
        <c:marker val="1"/>
        <c:axId val="55770112"/>
        <c:axId val="55802112"/>
      </c:lineChart>
      <c:catAx>
        <c:axId val="55770112"/>
        <c:scaling>
          <c:orientation val="minMax"/>
        </c:scaling>
        <c:axPos val="b"/>
        <c:majorTickMark val="none"/>
        <c:tickLblPos val="nextTo"/>
        <c:crossAx val="55802112"/>
        <c:crosses val="autoZero"/>
        <c:auto val="1"/>
        <c:lblAlgn val="ctr"/>
        <c:lblOffset val="100"/>
      </c:catAx>
      <c:valAx>
        <c:axId val="55802112"/>
        <c:scaling>
          <c:orientation val="minMax"/>
          <c:max val="1"/>
        </c:scaling>
        <c:axPos val="l"/>
        <c:majorGridlines/>
        <c:numFmt formatCode="0%" sourceLinked="0"/>
        <c:majorTickMark val="none"/>
        <c:tickLblPos val="nextTo"/>
        <c:crossAx val="55770112"/>
        <c:crosses val="autoZero"/>
        <c:crossBetween val="between"/>
      </c:valAx>
      <c:dTable>
        <c:showHorzBorder val="1"/>
        <c:showVertBorder val="1"/>
        <c:showOutline val="1"/>
      </c:dTable>
    </c:plotArea>
    <c:legend>
      <c:legendPos val="r"/>
      <c:layout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Paretova anal</a:t>
            </a:r>
            <a:r>
              <a:rPr lang="sk-SK"/>
              <a:t>ý</a:t>
            </a:r>
            <a:r>
              <a:rPr lang="en-US"/>
              <a:t>za majetku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Sheet1!$E$61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Sheet1!$C$62:$C$69</c:f>
              <c:strCache>
                <c:ptCount val="8"/>
                <c:pt idx="0">
                  <c:v>DHM</c:v>
                </c:pt>
                <c:pt idx="1">
                  <c:v>KP</c:v>
                </c:pt>
                <c:pt idx="2">
                  <c:v>DFM</c:v>
                </c:pt>
                <c:pt idx="3">
                  <c:v>FU</c:v>
                </c:pt>
                <c:pt idx="4">
                  <c:v>ZAS</c:v>
                </c:pt>
                <c:pt idx="5">
                  <c:v>DP</c:v>
                </c:pt>
                <c:pt idx="6">
                  <c:v>DNM</c:v>
                </c:pt>
                <c:pt idx="7">
                  <c:v>CR</c:v>
                </c:pt>
              </c:strCache>
            </c:strRef>
          </c:cat>
          <c:val>
            <c:numRef>
              <c:f>Sheet1!$E$62:$E$69</c:f>
              <c:numCache>
                <c:formatCode>0.0%</c:formatCode>
                <c:ptCount val="8"/>
                <c:pt idx="0">
                  <c:v>0.46035695898403983</c:v>
                </c:pt>
                <c:pt idx="1">
                  <c:v>0.23770379268920541</c:v>
                </c:pt>
                <c:pt idx="2">
                  <c:v>9.0955894971683549E-2</c:v>
                </c:pt>
                <c:pt idx="3">
                  <c:v>8.2778445169040676E-2</c:v>
                </c:pt>
                <c:pt idx="4">
                  <c:v>8.2049081860305476E-2</c:v>
                </c:pt>
                <c:pt idx="5">
                  <c:v>2.6874892740689892E-2</c:v>
                </c:pt>
                <c:pt idx="6">
                  <c:v>1.0108117384588982E-2</c:v>
                </c:pt>
                <c:pt idx="7">
                  <c:v>9.1728162004461981E-3</c:v>
                </c:pt>
              </c:numCache>
            </c:numRef>
          </c:val>
        </c:ser>
        <c:axId val="60892288"/>
        <c:axId val="60900480"/>
      </c:barChart>
      <c:lineChart>
        <c:grouping val="standard"/>
        <c:ser>
          <c:idx val="1"/>
          <c:order val="1"/>
          <c:tx>
            <c:strRef>
              <c:f>Sheet1!$F$61</c:f>
              <c:strCache>
                <c:ptCount val="1"/>
                <c:pt idx="0">
                  <c:v>kfi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</c:spPr>
          </c:marker>
          <c:val>
            <c:numRef>
              <c:f>Sheet1!$F$62:$F$69</c:f>
              <c:numCache>
                <c:formatCode>0.0%</c:formatCode>
                <c:ptCount val="8"/>
                <c:pt idx="0">
                  <c:v>0.46035695898403983</c:v>
                </c:pt>
                <c:pt idx="1">
                  <c:v>0.69806075167324522</c:v>
                </c:pt>
                <c:pt idx="2">
                  <c:v>0.78901664664492877</c:v>
                </c:pt>
                <c:pt idx="3">
                  <c:v>0.87179509181396941</c:v>
                </c:pt>
                <c:pt idx="4">
                  <c:v>0.95384417367427488</c:v>
                </c:pt>
                <c:pt idx="5">
                  <c:v>0.98071906641496476</c:v>
                </c:pt>
                <c:pt idx="6">
                  <c:v>0.9908271837995537</c:v>
                </c:pt>
                <c:pt idx="7">
                  <c:v>0.99999999999999989</c:v>
                </c:pt>
              </c:numCache>
            </c:numRef>
          </c:val>
        </c:ser>
        <c:marker val="1"/>
        <c:axId val="60892288"/>
        <c:axId val="60900480"/>
      </c:lineChart>
      <c:catAx>
        <c:axId val="60892288"/>
        <c:scaling>
          <c:orientation val="minMax"/>
        </c:scaling>
        <c:axPos val="b"/>
        <c:majorTickMark val="none"/>
        <c:tickLblPos val="nextTo"/>
        <c:crossAx val="60900480"/>
        <c:crosses val="autoZero"/>
        <c:auto val="1"/>
        <c:lblAlgn val="ctr"/>
        <c:lblOffset val="100"/>
      </c:catAx>
      <c:valAx>
        <c:axId val="60900480"/>
        <c:scaling>
          <c:orientation val="minMax"/>
          <c:max val="1"/>
        </c:scaling>
        <c:axPos val="l"/>
        <c:majorGridlines/>
        <c:numFmt formatCode="0%" sourceLinked="0"/>
        <c:majorTickMark val="none"/>
        <c:tickLblPos val="nextTo"/>
        <c:spPr>
          <a:ln>
            <a:solidFill>
              <a:schemeClr val="tx1"/>
            </a:solidFill>
          </a:ln>
        </c:spPr>
        <c:crossAx val="6089228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</xdr:row>
      <xdr:rowOff>171450</xdr:rowOff>
    </xdr:from>
    <xdr:to>
      <xdr:col>13</xdr:col>
      <xdr:colOff>323850</xdr:colOff>
      <xdr:row>15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58</xdr:row>
      <xdr:rowOff>114300</xdr:rowOff>
    </xdr:from>
    <xdr:to>
      <xdr:col>15</xdr:col>
      <xdr:colOff>333375</xdr:colOff>
      <xdr:row>72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3"/>
  <sheetViews>
    <sheetView tabSelected="1" topLeftCell="A36" workbookViewId="0">
      <selection activeCell="A38" sqref="A38:P71"/>
    </sheetView>
  </sheetViews>
  <sheetFormatPr defaultRowHeight="15"/>
  <cols>
    <col min="1" max="1" width="9.28515625" customWidth="1"/>
    <col min="2" max="2" width="11.5703125" bestFit="1" customWidth="1"/>
  </cols>
  <sheetData>
    <row r="1" spans="1:4">
      <c r="A1" s="1" t="s">
        <v>0</v>
      </c>
    </row>
    <row r="2" spans="1:4" ht="15.75" thickBot="1"/>
    <row r="3" spans="1:4" ht="15.75" thickBot="1">
      <c r="A3" s="8" t="s">
        <v>6</v>
      </c>
      <c r="B3" s="6" t="s">
        <v>7</v>
      </c>
      <c r="C3" s="7" t="s">
        <v>8</v>
      </c>
    </row>
    <row r="4" spans="1:4">
      <c r="A4" s="9" t="s">
        <v>1</v>
      </c>
      <c r="B4" s="2">
        <v>40705</v>
      </c>
      <c r="C4" s="3">
        <f>B4/B$8</f>
        <v>0.34632531863120458</v>
      </c>
    </row>
    <row r="5" spans="1:4">
      <c r="A5" s="9" t="s">
        <v>2</v>
      </c>
      <c r="B5" s="2">
        <v>70611</v>
      </c>
      <c r="C5" s="3">
        <f t="shared" ref="C5:C7" si="0">B5/B$8</f>
        <v>0.60077084077798759</v>
      </c>
    </row>
    <row r="6" spans="1:4">
      <c r="A6" s="9" t="s">
        <v>3</v>
      </c>
      <c r="B6" s="2">
        <v>4115</v>
      </c>
      <c r="C6" s="3">
        <f t="shared" si="0"/>
        <v>3.5011145711028299E-2</v>
      </c>
    </row>
    <row r="7" spans="1:4" ht="15.75" thickBot="1">
      <c r="A7" s="10" t="s">
        <v>4</v>
      </c>
      <c r="B7" s="4">
        <v>2103</v>
      </c>
      <c r="C7" s="5">
        <f t="shared" si="0"/>
        <v>1.7892694879779469E-2</v>
      </c>
    </row>
    <row r="8" spans="1:4" ht="15.75" thickBot="1">
      <c r="A8" s="10" t="s">
        <v>5</v>
      </c>
      <c r="B8" s="4">
        <f>SUM(B4:B7)</f>
        <v>117534</v>
      </c>
      <c r="C8" s="5">
        <f>SUM(C4:C7)</f>
        <v>1</v>
      </c>
    </row>
    <row r="11" spans="1:4" ht="18.75" customHeight="1" thickBot="1"/>
    <row r="12" spans="1:4" ht="18.75" thickBot="1">
      <c r="A12" s="8" t="s">
        <v>6</v>
      </c>
      <c r="B12" s="6" t="s">
        <v>16</v>
      </c>
      <c r="C12" s="7" t="s">
        <v>17</v>
      </c>
      <c r="D12" s="7" t="s">
        <v>18</v>
      </c>
    </row>
    <row r="13" spans="1:4">
      <c r="A13" s="9" t="s">
        <v>2</v>
      </c>
      <c r="B13" s="2">
        <v>70611</v>
      </c>
      <c r="C13" s="3">
        <f>B13/B$8</f>
        <v>0.60077084077798759</v>
      </c>
      <c r="D13" s="11">
        <f>C13</f>
        <v>0.60077084077798759</v>
      </c>
    </row>
    <row r="14" spans="1:4">
      <c r="A14" s="9" t="s">
        <v>1</v>
      </c>
      <c r="B14" s="2">
        <v>40705</v>
      </c>
      <c r="C14" s="3">
        <f>B14/B$8</f>
        <v>0.34632531863120458</v>
      </c>
      <c r="D14" s="11">
        <f>D13+C14</f>
        <v>0.94709615940919223</v>
      </c>
    </row>
    <row r="15" spans="1:4">
      <c r="A15" s="9" t="s">
        <v>3</v>
      </c>
      <c r="B15" s="2">
        <v>4115</v>
      </c>
      <c r="C15" s="3">
        <f>B15/B$8</f>
        <v>3.5011145711028299E-2</v>
      </c>
      <c r="D15" s="11">
        <f t="shared" ref="D15:D16" si="1">D14+C15</f>
        <v>0.98210730512022049</v>
      </c>
    </row>
    <row r="16" spans="1:4" ht="15.75" thickBot="1">
      <c r="A16" s="10" t="s">
        <v>4</v>
      </c>
      <c r="B16" s="4">
        <v>2103</v>
      </c>
      <c r="C16" s="5">
        <f>B16/B$8</f>
        <v>1.7892694879779469E-2</v>
      </c>
      <c r="D16" s="13">
        <f t="shared" si="1"/>
        <v>1</v>
      </c>
    </row>
    <row r="17" spans="1:11" ht="15.75" thickBot="1">
      <c r="A17" s="10" t="s">
        <v>5</v>
      </c>
      <c r="B17" s="4">
        <f>SUM(B13:B16)</f>
        <v>117534</v>
      </c>
      <c r="C17" s="5">
        <f>SUM(C13:C16)</f>
        <v>1</v>
      </c>
      <c r="D17" s="12"/>
    </row>
    <row r="26" spans="1:11">
      <c r="A26" s="16" t="s">
        <v>9</v>
      </c>
      <c r="B26" s="16" t="s">
        <v>10</v>
      </c>
      <c r="C26" s="16" t="s">
        <v>11</v>
      </c>
      <c r="D26" s="16" t="s">
        <v>12</v>
      </c>
      <c r="E26" s="16" t="s">
        <v>14</v>
      </c>
      <c r="F26" s="16" t="s">
        <v>13</v>
      </c>
      <c r="G26" s="16"/>
      <c r="H26" s="16"/>
      <c r="I26" s="16"/>
      <c r="J26" s="16"/>
      <c r="K26" s="16"/>
    </row>
    <row r="27" spans="1:11">
      <c r="A27" s="16">
        <f>SUM(B27:D27)</f>
        <v>126976</v>
      </c>
      <c r="B27" s="16">
        <f>34828+57753+532+6160+3+1663+8+103+1044+1629+2417+710+1+68</f>
        <v>106919</v>
      </c>
      <c r="C27" s="16">
        <v>11760</v>
      </c>
      <c r="D27" s="16">
        <f>4986+3311</f>
        <v>8297</v>
      </c>
      <c r="E27" s="16">
        <v>131310</v>
      </c>
      <c r="F27" s="16">
        <f>E27-A27</f>
        <v>4334</v>
      </c>
      <c r="G27" s="16"/>
      <c r="H27" s="16"/>
      <c r="I27" s="16"/>
      <c r="J27" s="16"/>
      <c r="K27" s="16"/>
    </row>
    <row r="28" spans="1:11">
      <c r="A28" s="16">
        <f>SUM(B28:D28)</f>
        <v>118313</v>
      </c>
      <c r="B28" s="16">
        <f>30907+51848+482+9863+2+1157+6+212+39+1216+4682+489+171</f>
        <v>101074</v>
      </c>
      <c r="C28" s="16">
        <v>10490</v>
      </c>
      <c r="D28" s="16">
        <f>4300+2449</f>
        <v>6749</v>
      </c>
      <c r="E28" s="16">
        <v>121279</v>
      </c>
      <c r="F28" s="16">
        <f>E28-A28</f>
        <v>2966</v>
      </c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 ht="15.75" thickBo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ht="18.75" thickBot="1">
      <c r="A31" s="17" t="s">
        <v>15</v>
      </c>
      <c r="B31" s="18" t="s">
        <v>16</v>
      </c>
      <c r="C31" s="18" t="s">
        <v>17</v>
      </c>
      <c r="D31" s="17" t="s">
        <v>18</v>
      </c>
      <c r="E31" s="16"/>
      <c r="F31" s="17" t="s">
        <v>15</v>
      </c>
      <c r="G31" s="18" t="s">
        <v>16</v>
      </c>
      <c r="H31" s="18" t="s">
        <v>17</v>
      </c>
      <c r="I31" s="17" t="s">
        <v>18</v>
      </c>
      <c r="J31" s="16"/>
      <c r="K31" s="16"/>
    </row>
    <row r="32" spans="1:11">
      <c r="A32" s="19" t="s">
        <v>10</v>
      </c>
      <c r="B32" s="20">
        <v>106919</v>
      </c>
      <c r="C32" s="21">
        <f>B32/B$35</f>
        <v>0.842041015625</v>
      </c>
      <c r="D32" s="22">
        <f>C32</f>
        <v>0.842041015625</v>
      </c>
      <c r="E32" s="16"/>
      <c r="F32" s="19" t="s">
        <v>10</v>
      </c>
      <c r="G32" s="20">
        <v>101074</v>
      </c>
      <c r="H32" s="21">
        <f>G32/G$35</f>
        <v>0.8542932729285877</v>
      </c>
      <c r="I32" s="22">
        <f>H32</f>
        <v>0.8542932729285877</v>
      </c>
      <c r="J32" s="16"/>
      <c r="K32" s="23">
        <f>C32-H32</f>
        <v>-1.2252257303587699E-2</v>
      </c>
    </row>
    <row r="33" spans="1:16">
      <c r="A33" s="19" t="s">
        <v>11</v>
      </c>
      <c r="B33" s="20">
        <v>11760</v>
      </c>
      <c r="C33" s="21">
        <f t="shared" ref="C33:C34" si="2">B33/B$35</f>
        <v>9.2615927419354843E-2</v>
      </c>
      <c r="D33" s="22">
        <f>D32+C33</f>
        <v>0.93465694304435487</v>
      </c>
      <c r="E33" s="16"/>
      <c r="F33" s="19" t="s">
        <v>11</v>
      </c>
      <c r="G33" s="20">
        <v>10490</v>
      </c>
      <c r="H33" s="21">
        <f t="shared" ref="H33:H34" si="3">G33/G$35</f>
        <v>8.8663122395679264E-2</v>
      </c>
      <c r="I33" s="22">
        <f>I32+H33</f>
        <v>0.942956395324267</v>
      </c>
      <c r="J33" s="16"/>
      <c r="K33" s="23">
        <f t="shared" ref="K33:K34" si="4">C33-H33</f>
        <v>3.9528050236755791E-3</v>
      </c>
    </row>
    <row r="34" spans="1:16" ht="15.75" thickBot="1">
      <c r="A34" s="24" t="s">
        <v>12</v>
      </c>
      <c r="B34" s="25">
        <v>8297</v>
      </c>
      <c r="C34" s="26">
        <f t="shared" si="2"/>
        <v>6.5343056955645157E-2</v>
      </c>
      <c r="D34" s="27">
        <f>D33+C34</f>
        <v>1</v>
      </c>
      <c r="E34" s="16"/>
      <c r="F34" s="24" t="s">
        <v>12</v>
      </c>
      <c r="G34" s="25">
        <v>6749</v>
      </c>
      <c r="H34" s="26">
        <f t="shared" si="3"/>
        <v>5.7043604675733016E-2</v>
      </c>
      <c r="I34" s="27">
        <f>I33+H34</f>
        <v>1</v>
      </c>
      <c r="J34" s="16"/>
      <c r="K34" s="23">
        <f t="shared" si="4"/>
        <v>8.2994522799121409E-3</v>
      </c>
    </row>
    <row r="35" spans="1:16" ht="15.75" thickBot="1">
      <c r="A35" s="24" t="s">
        <v>5</v>
      </c>
      <c r="B35" s="25">
        <f>SUM(B32:B34)</f>
        <v>126976</v>
      </c>
      <c r="C35" s="26">
        <f>SUM(C32:C34)</f>
        <v>1</v>
      </c>
      <c r="D35" s="27"/>
      <c r="E35" s="16"/>
      <c r="F35" s="24" t="s">
        <v>5</v>
      </c>
      <c r="G35" s="25">
        <f>SUM(G32:G34)</f>
        <v>118313</v>
      </c>
      <c r="H35" s="26">
        <f>SUM(H32:H34)</f>
        <v>1</v>
      </c>
      <c r="I35" s="27"/>
      <c r="J35" s="16"/>
      <c r="K35" s="26">
        <f>SUM(K32:K34)</f>
        <v>2.0816681711721685E-17</v>
      </c>
    </row>
    <row r="38" spans="1:16" ht="18.75" customHeight="1">
      <c r="A38" s="28" t="s">
        <v>19</v>
      </c>
      <c r="B38" s="28" t="s">
        <v>20</v>
      </c>
      <c r="C38" s="28" t="s">
        <v>21</v>
      </c>
      <c r="D38" s="28" t="s">
        <v>22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>
      <c r="A39" s="16">
        <v>116540</v>
      </c>
      <c r="B39" s="16">
        <v>47124</v>
      </c>
      <c r="C39" s="16">
        <v>65549</v>
      </c>
      <c r="D39" s="16">
        <v>3867</v>
      </c>
      <c r="E39" s="16">
        <f>SUM(B39:D39)</f>
        <v>116540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>
      <c r="A40" s="16">
        <v>128463</v>
      </c>
      <c r="B40" s="16">
        <v>53768</v>
      </c>
      <c r="C40" s="16">
        <v>71509</v>
      </c>
      <c r="D40" s="16">
        <v>3186</v>
      </c>
      <c r="E40" s="16">
        <f>SUM(B40:D40)</f>
        <v>128463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>
      <c r="A42" s="29">
        <f>A39/$A$39</f>
        <v>1</v>
      </c>
      <c r="B42" s="29">
        <f t="shared" ref="B42:C42" si="5">B39/$A$39</f>
        <v>0.40435901836279387</v>
      </c>
      <c r="C42" s="29">
        <f t="shared" si="5"/>
        <v>0.56245924146215887</v>
      </c>
      <c r="D42" s="29">
        <f>D39/$A$39</f>
        <v>3.3181740175047193E-2</v>
      </c>
      <c r="E42" s="23">
        <f>SUM(B42:D42)</f>
        <v>0.99999999999999989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>
      <c r="A43" s="29">
        <f>A40/$A$40</f>
        <v>1</v>
      </c>
      <c r="B43" s="29">
        <f t="shared" ref="B43:C43" si="6">B40/$A$40</f>
        <v>0.41854853148377352</v>
      </c>
      <c r="C43" s="29">
        <f t="shared" si="6"/>
        <v>0.55665055307753986</v>
      </c>
      <c r="D43" s="29">
        <f>D40/$A$40</f>
        <v>2.4800915438686625E-2</v>
      </c>
      <c r="E43" s="23">
        <f>SUM(B43:D43)</f>
        <v>1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>
      <c r="A45" s="16"/>
      <c r="B45" s="23">
        <f>B42-B43</f>
        <v>-1.4189513120979658E-2</v>
      </c>
      <c r="C45" s="23">
        <f t="shared" ref="C45:D45" si="7">C42-C43</f>
        <v>5.8086883846190096E-3</v>
      </c>
      <c r="D45" s="23">
        <f t="shared" si="7"/>
        <v>8.3808247363605683E-3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>
      <c r="A48" s="16" t="s">
        <v>23</v>
      </c>
      <c r="B48" s="16" t="s">
        <v>24</v>
      </c>
      <c r="C48" s="16" t="s">
        <v>25</v>
      </c>
      <c r="D48" s="16" t="s">
        <v>26</v>
      </c>
      <c r="E48" s="16" t="s">
        <v>27</v>
      </c>
      <c r="F48" s="16" t="s">
        <v>28</v>
      </c>
      <c r="G48" s="16" t="s">
        <v>29</v>
      </c>
      <c r="H48" s="16" t="s">
        <v>30</v>
      </c>
      <c r="I48" s="16" t="s">
        <v>31</v>
      </c>
      <c r="J48" s="16" t="s">
        <v>32</v>
      </c>
      <c r="K48" s="16" t="s">
        <v>22</v>
      </c>
      <c r="L48" s="16"/>
      <c r="M48" s="16"/>
      <c r="N48" s="16"/>
      <c r="O48" s="16"/>
      <c r="P48" s="16"/>
    </row>
    <row r="49" spans="1:16">
      <c r="A49" s="16">
        <v>116540</v>
      </c>
      <c r="B49" s="16">
        <v>65428</v>
      </c>
      <c r="C49" s="16">
        <v>50043</v>
      </c>
      <c r="D49" s="16">
        <v>1178</v>
      </c>
      <c r="E49" s="16">
        <v>53650</v>
      </c>
      <c r="F49" s="16">
        <v>10600</v>
      </c>
      <c r="G49" s="16">
        <v>9562</v>
      </c>
      <c r="H49" s="16">
        <v>3132</v>
      </c>
      <c r="I49" s="16">
        <v>27702</v>
      </c>
      <c r="J49" s="16">
        <v>9647</v>
      </c>
      <c r="K49" s="16">
        <v>1069</v>
      </c>
      <c r="L49" s="16"/>
      <c r="M49" s="16"/>
      <c r="N49" s="16"/>
      <c r="O49" s="16"/>
      <c r="P49" s="16"/>
    </row>
    <row r="50" spans="1:16">
      <c r="A50" s="16">
        <v>128463</v>
      </c>
      <c r="B50" s="16">
        <v>55303</v>
      </c>
      <c r="C50" s="16">
        <v>72266</v>
      </c>
      <c r="D50" s="16">
        <v>977</v>
      </c>
      <c r="E50" s="16">
        <v>45234</v>
      </c>
      <c r="F50" s="16">
        <v>9092</v>
      </c>
      <c r="G50" s="16">
        <v>8790</v>
      </c>
      <c r="H50" s="16">
        <v>2361</v>
      </c>
      <c r="I50" s="16">
        <v>51871</v>
      </c>
      <c r="J50" s="16">
        <v>9244</v>
      </c>
      <c r="K50" s="16">
        <v>894</v>
      </c>
      <c r="L50" s="16"/>
      <c r="M50" s="16"/>
      <c r="N50" s="16"/>
      <c r="O50" s="16"/>
      <c r="P50" s="16"/>
    </row>
    <row r="51" spans="1:16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>
      <c r="A52" s="16"/>
      <c r="B52" s="16">
        <f>SUM(B49:C49)+K49</f>
        <v>116540</v>
      </c>
      <c r="C52" s="16">
        <f>SUM(D49:F49)</f>
        <v>65428</v>
      </c>
      <c r="D52" s="16">
        <f>SUM(G49:J49)</f>
        <v>50043</v>
      </c>
      <c r="E52" s="16">
        <f>SUM(D49:K49)</f>
        <v>116540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>
      <c r="A53" s="16"/>
      <c r="B53" s="16">
        <f>SUM(B50:C50)+K50</f>
        <v>128463</v>
      </c>
      <c r="C53" s="16">
        <f>SUM(D50:F50)</f>
        <v>55303</v>
      </c>
      <c r="D53" s="16">
        <f>SUM(G50:J50)</f>
        <v>72266</v>
      </c>
      <c r="E53" s="16">
        <f>SUM(D50:K50)</f>
        <v>128463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6">
      <c r="A55" s="23">
        <f>A49/$A$49</f>
        <v>1</v>
      </c>
      <c r="B55" s="23">
        <f t="shared" ref="B55:H55" si="8">B49/$A$49</f>
        <v>0.56142097134031232</v>
      </c>
      <c r="C55" s="23">
        <f t="shared" si="8"/>
        <v>0.42940621245924149</v>
      </c>
      <c r="D55" s="23">
        <f t="shared" si="8"/>
        <v>1.0108117384588982E-2</v>
      </c>
      <c r="E55" s="23">
        <f t="shared" si="8"/>
        <v>0.46035695898403983</v>
      </c>
      <c r="F55" s="23">
        <f t="shared" si="8"/>
        <v>9.0955894971683549E-2</v>
      </c>
      <c r="G55" s="23">
        <f t="shared" si="8"/>
        <v>8.2049081860305476E-2</v>
      </c>
      <c r="H55" s="23">
        <f t="shared" si="8"/>
        <v>2.6874892740689892E-2</v>
      </c>
      <c r="I55" s="23">
        <f t="shared" ref="I55:K55" si="9">I49/$A$49</f>
        <v>0.23770379268920541</v>
      </c>
      <c r="J55" s="23">
        <f t="shared" si="9"/>
        <v>8.2778445169040676E-2</v>
      </c>
      <c r="K55" s="23">
        <f t="shared" si="9"/>
        <v>9.1728162004461981E-3</v>
      </c>
      <c r="L55" s="16"/>
      <c r="M55" s="16"/>
      <c r="N55" s="16"/>
      <c r="O55" s="16"/>
      <c r="P55" s="16"/>
    </row>
    <row r="56" spans="1:16">
      <c r="A56" s="23">
        <f>A50/$A$50</f>
        <v>1</v>
      </c>
      <c r="B56" s="23">
        <f t="shared" ref="B56:H56" si="10">B50/$A$50</f>
        <v>0.43049749733386267</v>
      </c>
      <c r="C56" s="23">
        <f t="shared" si="10"/>
        <v>0.56254330040556422</v>
      </c>
      <c r="D56" s="23">
        <f t="shared" si="10"/>
        <v>7.6053026941609644E-3</v>
      </c>
      <c r="E56" s="23">
        <f t="shared" si="10"/>
        <v>0.352116951962822</v>
      </c>
      <c r="F56" s="23">
        <f t="shared" si="10"/>
        <v>7.0775242676879721E-2</v>
      </c>
      <c r="G56" s="23">
        <f t="shared" si="10"/>
        <v>6.8424371219728636E-2</v>
      </c>
      <c r="H56" s="23">
        <f t="shared" si="10"/>
        <v>1.8378832815674553E-2</v>
      </c>
      <c r="I56" s="23">
        <f t="shared" ref="I56:K56" si="11">I50/$A$50</f>
        <v>0.40378163362213243</v>
      </c>
      <c r="J56" s="23">
        <f t="shared" si="11"/>
        <v>7.1958462748028612E-2</v>
      </c>
      <c r="K56" s="23">
        <f t="shared" si="11"/>
        <v>6.9592022605730833E-3</v>
      </c>
      <c r="L56" s="16"/>
      <c r="M56" s="16"/>
      <c r="N56" s="16"/>
      <c r="O56" s="16"/>
      <c r="P56" s="16"/>
    </row>
    <row r="57" spans="1:16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>
      <c r="A58" s="16"/>
      <c r="B58" s="16"/>
      <c r="C58" s="16"/>
      <c r="D58" s="23">
        <f>D55-D56</f>
        <v>2.5028146904280176E-3</v>
      </c>
      <c r="E58" s="23">
        <f t="shared" ref="E58:K58" si="12">E55-E56</f>
        <v>0.10824000702121783</v>
      </c>
      <c r="F58" s="23">
        <f t="shared" si="12"/>
        <v>2.0180652294803827E-2</v>
      </c>
      <c r="G58" s="23">
        <f t="shared" si="12"/>
        <v>1.362471064057684E-2</v>
      </c>
      <c r="H58" s="23">
        <f t="shared" si="12"/>
        <v>8.4960599250153389E-3</v>
      </c>
      <c r="I58" s="23">
        <f t="shared" si="12"/>
        <v>-0.16607784093292702</v>
      </c>
      <c r="J58" s="23">
        <f t="shared" si="12"/>
        <v>1.0819982421012064E-2</v>
      </c>
      <c r="K58" s="23">
        <f t="shared" si="12"/>
        <v>2.2136139398731148E-3</v>
      </c>
      <c r="L58" s="16"/>
      <c r="M58" s="16"/>
      <c r="N58" s="16"/>
      <c r="O58" s="16"/>
      <c r="P58" s="16"/>
    </row>
    <row r="59" spans="1:16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 ht="15.75" thickBo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ht="18.75" thickBot="1">
      <c r="A61" s="16"/>
      <c r="B61" s="16"/>
      <c r="C61" s="17" t="s">
        <v>33</v>
      </c>
      <c r="D61" s="18" t="s">
        <v>16</v>
      </c>
      <c r="E61" s="30" t="s">
        <v>17</v>
      </c>
      <c r="F61" s="30" t="s">
        <v>18</v>
      </c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>
      <c r="A62" s="16"/>
      <c r="B62" s="16"/>
      <c r="C62" s="19" t="s">
        <v>27</v>
      </c>
      <c r="D62" s="20">
        <v>53650</v>
      </c>
      <c r="E62" s="31">
        <f t="shared" ref="E62:E69" si="13">D62/$D$70</f>
        <v>0.46035695898403983</v>
      </c>
      <c r="F62" s="31">
        <f>E62</f>
        <v>0.46035695898403983</v>
      </c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>
      <c r="A63" s="16"/>
      <c r="B63" s="16"/>
      <c r="C63" s="19" t="s">
        <v>31</v>
      </c>
      <c r="D63" s="20">
        <v>27702</v>
      </c>
      <c r="E63" s="31">
        <f t="shared" si="13"/>
        <v>0.23770379268920541</v>
      </c>
      <c r="F63" s="31">
        <f>F62+E63</f>
        <v>0.69806075167324522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>
      <c r="A64" s="16"/>
      <c r="B64" s="16"/>
      <c r="C64" s="19" t="s">
        <v>28</v>
      </c>
      <c r="D64" s="20">
        <v>10600</v>
      </c>
      <c r="E64" s="31">
        <f t="shared" si="13"/>
        <v>9.0955894971683549E-2</v>
      </c>
      <c r="F64" s="31">
        <f t="shared" ref="F64:F69" si="14">F63+E64</f>
        <v>0.78901664664492877</v>
      </c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>
      <c r="A65" s="16"/>
      <c r="B65" s="16"/>
      <c r="C65" s="19" t="s">
        <v>32</v>
      </c>
      <c r="D65" s="20">
        <v>9647</v>
      </c>
      <c r="E65" s="31">
        <f t="shared" si="13"/>
        <v>8.2778445169040676E-2</v>
      </c>
      <c r="F65" s="31">
        <f t="shared" si="14"/>
        <v>0.87179509181396941</v>
      </c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>
      <c r="A66" s="16"/>
      <c r="B66" s="16"/>
      <c r="C66" s="19" t="s">
        <v>29</v>
      </c>
      <c r="D66" s="20">
        <v>9562</v>
      </c>
      <c r="E66" s="31">
        <f t="shared" si="13"/>
        <v>8.2049081860305476E-2</v>
      </c>
      <c r="F66" s="31">
        <f t="shared" si="14"/>
        <v>0.95384417367427488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>
      <c r="A67" s="16"/>
      <c r="B67" s="16"/>
      <c r="C67" s="19" t="s">
        <v>30</v>
      </c>
      <c r="D67" s="20">
        <v>3132</v>
      </c>
      <c r="E67" s="31">
        <f t="shared" si="13"/>
        <v>2.6874892740689892E-2</v>
      </c>
      <c r="F67" s="31">
        <f t="shared" si="14"/>
        <v>0.98071906641496476</v>
      </c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>
      <c r="A68" s="16"/>
      <c r="B68" s="16"/>
      <c r="C68" s="19" t="s">
        <v>26</v>
      </c>
      <c r="D68" s="20">
        <v>1178</v>
      </c>
      <c r="E68" s="31">
        <f t="shared" si="13"/>
        <v>1.0108117384588982E-2</v>
      </c>
      <c r="F68" s="31">
        <f t="shared" si="14"/>
        <v>0.9908271837995537</v>
      </c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ht="15.75" thickBot="1">
      <c r="A69" s="16"/>
      <c r="B69" s="16"/>
      <c r="C69" s="24" t="s">
        <v>22</v>
      </c>
      <c r="D69" s="25">
        <v>1069</v>
      </c>
      <c r="E69" s="32">
        <f t="shared" si="13"/>
        <v>9.1728162004461981E-3</v>
      </c>
      <c r="F69" s="32">
        <f t="shared" si="14"/>
        <v>0.99999999999999989</v>
      </c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5.75" thickBot="1">
      <c r="A70" s="16"/>
      <c r="B70" s="16"/>
      <c r="C70" s="24" t="s">
        <v>5</v>
      </c>
      <c r="D70" s="25">
        <f>SUM(D62:D69)</f>
        <v>116540</v>
      </c>
      <c r="E70" s="32">
        <f>SUM(E62:E69)</f>
        <v>0.99999999999999989</v>
      </c>
      <c r="F70" s="32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3" spans="1:16">
      <c r="A73">
        <v>95987</v>
      </c>
      <c r="B73">
        <v>65428</v>
      </c>
      <c r="C73">
        <f>A73-B73</f>
        <v>30559</v>
      </c>
    </row>
    <row r="75" spans="1:16">
      <c r="A75" s="14">
        <v>1</v>
      </c>
      <c r="B75" s="14">
        <f>B73/A73</f>
        <v>0.68163397126694236</v>
      </c>
      <c r="C75" s="14">
        <f>C73/A73</f>
        <v>0.31836602873305758</v>
      </c>
    </row>
    <row r="77" spans="1:16">
      <c r="A77" t="s">
        <v>34</v>
      </c>
    </row>
    <row r="79" spans="1:16">
      <c r="A79">
        <f>106+3073</f>
        <v>3179</v>
      </c>
      <c r="B79">
        <f>13+1895</f>
        <v>1908</v>
      </c>
    </row>
    <row r="80" spans="1:16">
      <c r="A80">
        <v>47124</v>
      </c>
      <c r="B80">
        <v>53768</v>
      </c>
    </row>
    <row r="82" spans="1:2">
      <c r="A82" s="15">
        <f>100*A79/A80</f>
        <v>6.746031746031746</v>
      </c>
      <c r="B82" s="15">
        <f>100*B79/B80</f>
        <v>3.5485790804939743</v>
      </c>
    </row>
    <row r="84" spans="1:2">
      <c r="A84" t="s">
        <v>35</v>
      </c>
    </row>
    <row r="85" spans="1:2">
      <c r="A85">
        <v>131310</v>
      </c>
      <c r="B85">
        <v>121279</v>
      </c>
    </row>
    <row r="86" spans="1:2">
      <c r="A86" s="15">
        <f>100*A79/A85</f>
        <v>2.420988500495012</v>
      </c>
      <c r="B86" s="15">
        <f>100*B79/B85</f>
        <v>1.5732319692609602</v>
      </c>
    </row>
    <row r="88" spans="1:2">
      <c r="A88" t="s">
        <v>36</v>
      </c>
    </row>
    <row r="89" spans="1:2">
      <c r="A89">
        <v>20391</v>
      </c>
      <c r="B89">
        <v>19015</v>
      </c>
    </row>
    <row r="90" spans="1:2">
      <c r="A90" s="15">
        <f>A79*100/A89</f>
        <v>15.590211367760286</v>
      </c>
      <c r="B90" s="15">
        <f>B79*100/B89</f>
        <v>10.034183539311071</v>
      </c>
    </row>
    <row r="92" spans="1:2">
      <c r="A92" t="s">
        <v>37</v>
      </c>
    </row>
    <row r="93" spans="1:2">
      <c r="A93">
        <v>11760</v>
      </c>
      <c r="B93">
        <v>10490</v>
      </c>
    </row>
    <row r="94" spans="1:2">
      <c r="A94">
        <f>4986+3311</f>
        <v>8297</v>
      </c>
      <c r="B94">
        <f>4300+2449</f>
        <v>6749</v>
      </c>
    </row>
    <row r="95" spans="1:2">
      <c r="A95">
        <f>SUM(A93:A94)</f>
        <v>20057</v>
      </c>
      <c r="B95">
        <f>SUM(B93:B94)</f>
        <v>17239</v>
      </c>
    </row>
    <row r="97" spans="1:2">
      <c r="A97" s="15">
        <f>A89/A95</f>
        <v>1.0166525402602582</v>
      </c>
      <c r="B97" s="15">
        <f>B89/B95</f>
        <v>1.1030222170659552</v>
      </c>
    </row>
    <row r="99" spans="1:2">
      <c r="A99" t="s">
        <v>38</v>
      </c>
    </row>
    <row r="100" spans="1:2">
      <c r="A100" t="s">
        <v>39</v>
      </c>
    </row>
    <row r="102" spans="1:2">
      <c r="A102">
        <f>40705+70611</f>
        <v>111316</v>
      </c>
      <c r="B102">
        <f>36374+64069</f>
        <v>100443</v>
      </c>
    </row>
    <row r="103" spans="1:2">
      <c r="A103">
        <v>11760</v>
      </c>
      <c r="B103">
        <v>10490</v>
      </c>
    </row>
    <row r="105" spans="1:2">
      <c r="A105" s="15">
        <f>A102/A103</f>
        <v>9.4656462585034014</v>
      </c>
      <c r="B105" s="15">
        <f>B102/B103</f>
        <v>9.5751191611058157</v>
      </c>
    </row>
    <row r="107" spans="1:2">
      <c r="A107" t="s">
        <v>40</v>
      </c>
    </row>
    <row r="108" spans="1:2">
      <c r="A108" s="15">
        <f>A95/A103</f>
        <v>1.7055272108843538</v>
      </c>
      <c r="B108" s="15">
        <f>B95/B103</f>
        <v>1.6433746425166826</v>
      </c>
    </row>
    <row r="109" spans="1:2">
      <c r="A109" t="s">
        <v>41</v>
      </c>
    </row>
    <row r="110" spans="1:2">
      <c r="A110">
        <f>131310/116540</f>
        <v>1.1267376008237515</v>
      </c>
      <c r="B110">
        <f>121279/128463</f>
        <v>0.94407728295306825</v>
      </c>
    </row>
    <row r="111" spans="1:2">
      <c r="A111" t="s">
        <v>42</v>
      </c>
    </row>
    <row r="112" spans="1:2">
      <c r="A112">
        <f>20391/131310</f>
        <v>0.15528901073794837</v>
      </c>
      <c r="B112">
        <f>19015/121279</f>
        <v>0.156787242638874</v>
      </c>
    </row>
    <row r="113" spans="1:2">
      <c r="A113" t="s">
        <v>43</v>
      </c>
    </row>
    <row r="114" spans="1:2">
      <c r="A114">
        <f>110+27702+9647-22+563</f>
        <v>38000</v>
      </c>
    </row>
    <row r="115" spans="1:2">
      <c r="A115">
        <f>0+1533+34512+2633+6467+190</f>
        <v>45335</v>
      </c>
    </row>
    <row r="116" spans="1:2">
      <c r="A116">
        <f>A114/A115</f>
        <v>0.83820447777655238</v>
      </c>
    </row>
    <row r="117" spans="1:2">
      <c r="A117">
        <f>110+51871+9244-17+504</f>
        <v>61712</v>
      </c>
    </row>
    <row r="118" spans="1:2">
      <c r="A118">
        <f>1278+45904+2431+5721+185</f>
        <v>55519</v>
      </c>
    </row>
    <row r="119" spans="1:2">
      <c r="A119">
        <f>A117/A118</f>
        <v>1.1115473981880077</v>
      </c>
    </row>
    <row r="120" spans="1:2">
      <c r="A120">
        <v>2008</v>
      </c>
      <c r="B120">
        <v>2007</v>
      </c>
    </row>
    <row r="121" spans="1:2">
      <c r="A121">
        <f>21782/30.126</f>
        <v>723.02994091482435</v>
      </c>
      <c r="B121">
        <f>20146/30.126</f>
        <v>668.72468963685856</v>
      </c>
    </row>
    <row r="122" spans="1:2">
      <c r="A122">
        <f>12*A121</f>
        <v>8676.3592909778927</v>
      </c>
      <c r="B122">
        <f>12*B121</f>
        <v>8024.6962756423027</v>
      </c>
    </row>
    <row r="123" spans="1:2">
      <c r="A123">
        <f>8568000/A122</f>
        <v>987.51097236250121</v>
      </c>
      <c r="B123">
        <f>7710000/B122</f>
        <v>960.78402660577774</v>
      </c>
    </row>
  </sheetData>
  <sortState ref="C62:F69">
    <sortCondition descending="1" ref="D62:D69"/>
  </sortState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uzivatel2</dc:creator>
  <cp:lastModifiedBy>uzivatel2</cp:lastModifiedBy>
  <dcterms:created xsi:type="dcterms:W3CDTF">2011-03-23T03:33:55Z</dcterms:created>
  <dcterms:modified xsi:type="dcterms:W3CDTF">2011-06-14T05:34:33Z</dcterms:modified>
</cp:coreProperties>
</file>